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Video\Downloads\"/>
    </mc:Choice>
  </mc:AlternateContent>
  <xr:revisionPtr revIDLastSave="0" documentId="13_ncr:1_{6640BA56-7FED-42FF-A853-6EB185C4B8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Г-1" sheetId="41" r:id="rId1"/>
  </sheets>
  <definedNames>
    <definedName name="_xlnm.Print_Area" localSheetId="0">'Г-1'!$A$1:$H$59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" i="41" l="1"/>
  <c r="G28" i="41" s="1"/>
  <c r="H48" i="41" l="1"/>
  <c r="H32" i="41"/>
  <c r="H31" i="41"/>
  <c r="H28" i="41" s="1"/>
  <c r="H22" i="41"/>
  <c r="H15" i="41"/>
  <c r="H23" i="41" s="1"/>
  <c r="H24" i="41" s="1"/>
  <c r="H11" i="41"/>
  <c r="H40" i="41" s="1"/>
  <c r="H38" i="41" s="1"/>
  <c r="H27" i="41" l="1"/>
  <c r="G48" i="41" l="1"/>
  <c r="F48" i="41"/>
  <c r="G32" i="41"/>
  <c r="G27" i="41" s="1"/>
  <c r="F32" i="41"/>
  <c r="F28" i="41"/>
  <c r="G22" i="41"/>
  <c r="F22" i="41"/>
  <c r="G15" i="41"/>
  <c r="F15" i="41"/>
  <c r="F23" i="41" s="1"/>
  <c r="G11" i="41"/>
  <c r="G40" i="41" s="1"/>
  <c r="G38" i="41" s="1"/>
  <c r="F11" i="41"/>
  <c r="F40" i="41" s="1"/>
  <c r="G23" i="41" l="1"/>
  <c r="G24" i="41" s="1"/>
  <c r="H25" i="41"/>
  <c r="H12" i="41" s="1"/>
  <c r="F27" i="41"/>
  <c r="F38" i="41"/>
  <c r="F24" i="41"/>
  <c r="F25" i="41" s="1"/>
  <c r="F12" i="41" l="1"/>
  <c r="F13" i="41" s="1"/>
  <c r="G25" i="41"/>
  <c r="G12" i="41" s="1"/>
  <c r="H13" i="41"/>
  <c r="H14" i="41" s="1"/>
  <c r="G13" i="41" l="1"/>
  <c r="G14" i="41" s="1"/>
  <c r="G52" i="41" s="1"/>
  <c r="F14" i="41"/>
  <c r="F52" i="41" s="1"/>
  <c r="H52" i="41"/>
  <c r="H53" i="41" s="1"/>
  <c r="H55" i="41" s="1"/>
  <c r="H56" i="41" s="1"/>
  <c r="H57" i="41" s="1"/>
  <c r="H58" i="41" l="1"/>
  <c r="F53" i="41"/>
  <c r="F56" i="41" s="1"/>
  <c r="F57" i="41" s="1"/>
  <c r="F58" i="41" s="1"/>
  <c r="G53" i="41"/>
  <c r="G55" i="41" s="1"/>
  <c r="G56" i="41" s="1"/>
  <c r="G57" i="41" s="1"/>
  <c r="G58" i="41" l="1"/>
  <c r="I58" i="41" s="1"/>
  <c r="F55" i="4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Чуйкова Елена Владимировна</author>
  </authors>
  <commentList>
    <comment ref="F19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применяется, если есть ночные смены!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19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применяется, если есть ночные смены!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H19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04"/>
          </rPr>
          <t>применяется, если есть ночные смены!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21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04"/>
          </rPr>
          <t>применяется, если есть смены в праздничные дни!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21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применяется, если есть смены в праздничные дни!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H21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применяется, если есть смены в праздничные дни!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<sst xmlns="http://schemas.openxmlformats.org/spreadsheetml/2006/main" count="128" uniqueCount="115">
  <si>
    <t>№ п/п</t>
  </si>
  <si>
    <t>Наименование показателя</t>
  </si>
  <si>
    <t>Обозн.
показ.</t>
  </si>
  <si>
    <t>Ед.изм.</t>
  </si>
  <si>
    <t>Си</t>
  </si>
  <si>
    <t>руб.</t>
  </si>
  <si>
    <t>БЗП</t>
  </si>
  <si>
    <t>руб./час</t>
  </si>
  <si>
    <t>Базовая заработная плата работника
БЗП = МРОТ / СНР</t>
  </si>
  <si>
    <t>МРОТ</t>
  </si>
  <si>
    <t>среднемесячное количество раб.часов 1 работника поста охраны</t>
  </si>
  <si>
    <t>СНР</t>
  </si>
  <si>
    <t>час.</t>
  </si>
  <si>
    <t>доплата за работу в ночное время</t>
  </si>
  <si>
    <t>Дн</t>
  </si>
  <si>
    <t>%</t>
  </si>
  <si>
    <t>доплата за работу в выходные и праздничные дни</t>
  </si>
  <si>
    <t>Двп</t>
  </si>
  <si>
    <t>Дрк</t>
  </si>
  <si>
    <t>РО</t>
  </si>
  <si>
    <t>Резерв на отпуск
РО = (БПЗ + Дн + Двп + Дрк) / 12</t>
  </si>
  <si>
    <t>Страховые взносы
СВ = (БПЗ+Дн+Двп+Дрк+РО)*Y</t>
  </si>
  <si>
    <t>ставка страховых взносов</t>
  </si>
  <si>
    <t>Y</t>
  </si>
  <si>
    <t>Корректирующий коэффициент
U= Uб+Uд1+Uд2+Uд3+Uд4+Uд5</t>
  </si>
  <si>
    <t xml:space="preserve"> базовый коэффициент</t>
  </si>
  <si>
    <t>U</t>
  </si>
  <si>
    <t>Uб</t>
  </si>
  <si>
    <t>Пост охраны в составе 1 работника с режимом работы 24 часа</t>
  </si>
  <si>
    <t>Пост охраны в составе 1 работника с режимом работы 12 часов</t>
  </si>
  <si>
    <t>Пост охраны в составе 1 работника с режимом работы, отличным от 24 и 12 часов. Не более 24 часов, не менее 3 часов
Uб = 2 - 0,0417 * Количество часов работы поста</t>
  </si>
  <si>
    <t>Ки</t>
  </si>
  <si>
    <t>Наличие спецсредств у работника</t>
  </si>
  <si>
    <t>Наличие служебного оружия у работника</t>
  </si>
  <si>
    <t>Обеспечение порядка в местах проведения массовых мероприятий</t>
  </si>
  <si>
    <t>Охрана объектов и (или) имущества, а также обеспечение внутриобъектового и пропускного режимов на объектах, в отношении которых установлены обязательные для выполнения требования к антитеррористической защищенности</t>
  </si>
  <si>
    <t>Наличие допуска к государственной тайне работника и режимно-секретного подразделения</t>
  </si>
  <si>
    <t>Uд1</t>
  </si>
  <si>
    <t>Uд2</t>
  </si>
  <si>
    <t>Uд3</t>
  </si>
  <si>
    <t>Uд4</t>
  </si>
  <si>
    <t>Uд5</t>
  </si>
  <si>
    <t>доля</t>
  </si>
  <si>
    <t>КР</t>
  </si>
  <si>
    <t>Прибыль П = ((Си х Ки) + КР) * 0,05</t>
  </si>
  <si>
    <t>П</t>
  </si>
  <si>
    <t>Стсо</t>
  </si>
  <si>
    <t>СР</t>
  </si>
  <si>
    <t>услуги по реагированию (без учета НДС)</t>
  </si>
  <si>
    <t xml:space="preserve">КР </t>
  </si>
  <si>
    <t>объем оказания услуг по реагированию, предусмотренный контрактом</t>
  </si>
  <si>
    <t>СП</t>
  </si>
  <si>
    <t>работы по проектированию (без учета НДС)</t>
  </si>
  <si>
    <t>КП</t>
  </si>
  <si>
    <t>объем выполнения работ по проектированию, предусмотренный контрактом</t>
  </si>
  <si>
    <t>услуги по эксплуатационному обслуживанию (без учета НДС)</t>
  </si>
  <si>
    <t>СЭО</t>
  </si>
  <si>
    <t>объем оказания услуг по эксплуатационному обслуживанию, предусмотренный контрактом</t>
  </si>
  <si>
    <t>КЭО</t>
  </si>
  <si>
    <t>работы по монтажу (без учета НДС)</t>
  </si>
  <si>
    <t>СМ</t>
  </si>
  <si>
    <t>объем выполнения работ по монтажу, предусмотренный контрактом</t>
  </si>
  <si>
    <t>КМ</t>
  </si>
  <si>
    <t>СО</t>
  </si>
  <si>
    <t>цена оборуд-я тех.средств охраны, поставляемого заказчику (без учета НДС)</t>
  </si>
  <si>
    <t>Стоимость выполнения работ по проектированию, монтажу и эксплуатационному обслуживанию технических средств охраны, перечень видов которых устанавливается Правительством РФ и (или) принятие соответствующих мер реагирования на их сигнальную информацию Стсо = СР * КР + СП * КП + СЭО * КЭО + СМ * КМ + СО</t>
  </si>
  <si>
    <t>Сзж</t>
  </si>
  <si>
    <t>Стоимость оказания услуги по защите жизни и здоровья граждан
Сзж = Сеу * Кзж</t>
  </si>
  <si>
    <t>Сеу</t>
  </si>
  <si>
    <t>Кзж</t>
  </si>
  <si>
    <t>услуги по защите жизни и здоровья граждан (без учета НДС)</t>
  </si>
  <si>
    <t>объем оказания услуг по защите жизни и здоровья граждан</t>
  </si>
  <si>
    <t>индекс потребительских цен на прочие услуги</t>
  </si>
  <si>
    <t>Iинфл</t>
  </si>
  <si>
    <t>НДС</t>
  </si>
  <si>
    <t>Начальная (максимальная) цена контракта</t>
  </si>
  <si>
    <t>Дополнительные коэффициенты</t>
  </si>
  <si>
    <t>Количество чел/час в смену:</t>
  </si>
  <si>
    <t>0,05*</t>
  </si>
  <si>
    <t>0,2*</t>
  </si>
  <si>
    <t>0,3*</t>
  </si>
  <si>
    <t>0,1*</t>
  </si>
  <si>
    <t xml:space="preserve">Количество постов </t>
  </si>
  <si>
    <t>1*</t>
  </si>
  <si>
    <t>1,5*</t>
  </si>
  <si>
    <t>расчет*</t>
  </si>
  <si>
    <t>Определение начальной (максимальной) цены контракта на основании
Порядка, утвержденного приказом Федеральной службы войск национальной гвардии Российской Федерации от 15.02.2021 №45</t>
  </si>
  <si>
    <t>Количество чел/час</t>
  </si>
  <si>
    <t>доплата за работу в районах Крайнего Севера и приравненных к ним местностях (РК согласно ст. 316 ТК РФ)</t>
  </si>
  <si>
    <t>Количество смен всего (количество дней)</t>
  </si>
  <si>
    <t>Налог на добавленную стоимость 22%
НДС = (КР+(Си*Ки)+П)*0,2</t>
  </si>
  <si>
    <t xml:space="preserve">12 часов
</t>
  </si>
  <si>
    <t xml:space="preserve">10 часов
</t>
  </si>
  <si>
    <t xml:space="preserve"> 6 часов
</t>
  </si>
  <si>
    <t>Прямые затраты на часовую работу поста охраны в составе 1 работника
Си = (БЗП + Дн + Двп + Дрк + РО + СВ) х U</t>
  </si>
  <si>
    <t>Косвенные затраты на часовую работу поста охраны в составе 1 работника
КР = (Си х Ки) х 0,2</t>
  </si>
  <si>
    <t>Начальная (максимальная) цена работы 1 поста охраны
НМЦК = (Си х Ки) + КР + П + Стсо + Сзж) х Iинфл + НДС</t>
  </si>
  <si>
    <r>
      <rPr>
        <b/>
        <u/>
        <sz val="12"/>
        <color rgb="FFFF0000"/>
        <rFont val="Times New Roman"/>
        <family val="1"/>
        <charset val="204"/>
      </rPr>
      <t>С</t>
    </r>
    <r>
      <rPr>
        <b/>
        <sz val="12"/>
        <color rgb="FFFF0000"/>
        <rFont val="Times New Roman"/>
        <family val="1"/>
        <charset val="204"/>
      </rPr>
      <t>тоимость 1 часа охраны составит</t>
    </r>
  </si>
  <si>
    <r>
      <rPr>
        <b/>
        <u/>
        <sz val="12"/>
        <color rgb="FFFF0000"/>
        <rFont val="Times New Roman"/>
        <family val="1"/>
        <charset val="204"/>
      </rPr>
      <t>С</t>
    </r>
    <r>
      <rPr>
        <b/>
        <sz val="12"/>
        <color rgb="FFFF0000"/>
        <rFont val="Times New Roman"/>
        <family val="1"/>
        <charset val="204"/>
      </rPr>
      <t>тоимость 1 часа охраны с учетом округления</t>
    </r>
  </si>
  <si>
    <t>Примечание</t>
  </si>
  <si>
    <t>Устанавливаются в размере 20% от общей суммы всех прямых затрат</t>
  </si>
  <si>
    <t>Принимается равной 5%</t>
  </si>
  <si>
    <t>2025  применять МРОТ утвержденный на дату расчета</t>
  </si>
  <si>
    <t>по производственному календарю (для 40-часовой пятидневной раб.недели)</t>
  </si>
  <si>
    <r>
      <t>Постановление Правительства РФ от 22.07.2008 №554 "О минимальном размере повышения оплаты труда за работу в ночное время"  (с 22 часов до 6 часов),</t>
    </r>
    <r>
      <rPr>
        <b/>
        <sz val="8"/>
        <color rgb="FFFF0000"/>
        <rFont val="Times New Roman"/>
        <family val="1"/>
        <charset val="204"/>
      </rPr>
      <t xml:space="preserve"> </t>
    </r>
    <r>
      <rPr>
        <b/>
        <u/>
        <sz val="8"/>
        <color rgb="FFFF0000"/>
        <rFont val="Times New Roman"/>
        <family val="1"/>
        <charset val="204"/>
      </rPr>
      <t>Применяется, если есть ночные смены.</t>
    </r>
  </si>
  <si>
    <t>ст.153 ТК РФ</t>
  </si>
  <si>
    <t>Применяется, если есть смены в выходные и праздничные дни ( в 2025 году всего 365 дней, их них рабочих - 247;   13 - нерабочие праздничные дни)</t>
  </si>
  <si>
    <t>0,8 - районный коэффициент</t>
  </si>
  <si>
    <t>*установить базовый  коэффициент в соответствии с режимом охраны, если в примере соответствует вашему, ничего не менять в данном разделе</t>
  </si>
  <si>
    <t>не может превышать 0,35</t>
  </si>
  <si>
    <r>
      <rPr>
        <b/>
        <sz val="10"/>
        <color rgb="FFFF0000"/>
        <rFont val="Times New Roman"/>
        <family val="1"/>
        <charset val="204"/>
      </rPr>
      <t>*</t>
    </r>
    <r>
      <rPr>
        <sz val="8"/>
        <color theme="1"/>
        <rFont val="Times New Roman"/>
        <family val="1"/>
        <charset val="204"/>
      </rPr>
      <t xml:space="preserve"> </t>
    </r>
    <r>
      <rPr>
        <b/>
        <sz val="8"/>
        <color rgb="FFFF0000"/>
        <rFont val="Times New Roman"/>
        <family val="1"/>
        <charset val="204"/>
      </rPr>
      <t>применяется в соответствии с ТЗ,</t>
    </r>
    <r>
      <rPr>
        <sz val="8"/>
        <color theme="1"/>
        <rFont val="Times New Roman"/>
        <family val="1"/>
        <charset val="204"/>
      </rPr>
      <t xml:space="preserve"> суммарное значение дополнительных коэффициентов </t>
    </r>
    <r>
      <rPr>
        <b/>
        <sz val="8"/>
        <color rgb="FFFF0000"/>
        <rFont val="Times New Roman"/>
        <family val="1"/>
        <charset val="204"/>
      </rPr>
      <t>не может превышать 0,35</t>
    </r>
  </si>
  <si>
    <t>если расчет НМЦК и начало срока действия контракта приходятся на 1 год, то значение принимается равным 1</t>
  </si>
  <si>
    <t>указать количество постов на объекте</t>
  </si>
  <si>
    <t>*** С учётом округления стоимости 1 часа охраны до 2-х знаков разрядности, итого НМЦК за 1 пост</t>
  </si>
  <si>
    <t>на сентябрь 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</si>
</sst>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#,##0.000"/>
    <numFmt numFmtId="166" formatCode="#,##0.000000"/>
    <numFmt numFmtId="167" formatCode="0.0000"/>
  </numFmts>
  <fonts count="19" x14ac:knownFonts="1">
    <font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b/>
      <u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u/>
      <sz val="8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2" xfId="0" applyFont="1" applyBorder="1" applyAlignment="1">
      <alignment vertical="center"/>
    </xf>
    <xf numFmtId="0" fontId="6" fillId="7" borderId="1" xfId="0" applyFont="1" applyFill="1" applyBorder="1" applyAlignment="1">
      <alignment horizontal="center" vertical="center"/>
    </xf>
    <xf numFmtId="165" fontId="6" fillId="4" borderId="1" xfId="0" applyNumberFormat="1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2" fontId="3" fillId="9" borderId="1" xfId="0" applyNumberFormat="1" applyFont="1" applyFill="1" applyBorder="1" applyAlignment="1">
      <alignment horizontal="center" vertical="center"/>
    </xf>
    <xf numFmtId="165" fontId="7" fillId="4" borderId="1" xfId="0" applyNumberFormat="1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167" fontId="3" fillId="6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165" fontId="6" fillId="6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4" fontId="6" fillId="4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vertical="center" wrapText="1"/>
    </xf>
    <xf numFmtId="166" fontId="4" fillId="8" borderId="1" xfId="0" applyNumberFormat="1" applyFont="1" applyFill="1" applyBorder="1" applyAlignment="1">
      <alignment horizontal="center" vertical="center"/>
    </xf>
    <xf numFmtId="4" fontId="5" fillId="9" borderId="1" xfId="0" applyNumberFormat="1" applyFont="1" applyFill="1" applyBorder="1" applyAlignment="1">
      <alignment horizontal="center" vertical="center"/>
    </xf>
    <xf numFmtId="0" fontId="9" fillId="10" borderId="0" xfId="0" applyFont="1" applyFill="1" applyAlignment="1">
      <alignment horizontal="left" vertical="center"/>
    </xf>
    <xf numFmtId="0" fontId="9" fillId="10" borderId="0" xfId="0" applyFont="1" applyFill="1" applyAlignment="1">
      <alignment vertical="center" wrapText="1"/>
    </xf>
    <xf numFmtId="0" fontId="3" fillId="10" borderId="0" xfId="0" applyFont="1" applyFill="1" applyAlignment="1">
      <alignment horizontal="center" vertical="center"/>
    </xf>
    <xf numFmtId="4" fontId="5" fillId="10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 indent="1"/>
    </xf>
    <xf numFmtId="0" fontId="6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vertical="center" wrapText="1"/>
    </xf>
    <xf numFmtId="0" fontId="6" fillId="8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1" fillId="7" borderId="1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4" fillId="6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4" fillId="6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4" fontId="18" fillId="11" borderId="0" xfId="0" applyNumberFormat="1" applyFont="1" applyFill="1" applyAlignment="1">
      <alignment horizontal="center" vertical="center"/>
    </xf>
    <xf numFmtId="0" fontId="14" fillId="6" borderId="4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5" fillId="6" borderId="4" xfId="0" applyFont="1" applyFill="1" applyBorder="1" applyAlignment="1">
      <alignment horizontal="left" vertical="center" wrapText="1"/>
    </xf>
    <xf numFmtId="0" fontId="15" fillId="6" borderId="5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I68"/>
  <sheetViews>
    <sheetView tabSelected="1" zoomScale="85" zoomScaleNormal="85" zoomScaleSheetLayoutView="70" workbookViewId="0">
      <pane xSplit="6" ySplit="7" topLeftCell="G34" activePane="bottomRight" state="frozen"/>
      <selection pane="topRight" activeCell="G1" sqref="G1"/>
      <selection pane="bottomLeft" activeCell="A8" sqref="A8"/>
      <selection pane="bottomRight" activeCell="M3" sqref="M3"/>
    </sheetView>
  </sheetViews>
  <sheetFormatPr defaultColWidth="9.140625" defaultRowHeight="15.75" x14ac:dyDescent="0.25"/>
  <cols>
    <col min="1" max="1" width="4.28515625" style="1" customWidth="1"/>
    <col min="2" max="2" width="5.7109375" style="2" customWidth="1"/>
    <col min="3" max="3" width="74.85546875" style="1" customWidth="1"/>
    <col min="4" max="4" width="9.140625" style="2" customWidth="1"/>
    <col min="5" max="5" width="13" style="2" customWidth="1"/>
    <col min="6" max="6" width="15" style="2" bestFit="1" customWidth="1"/>
    <col min="7" max="7" width="14.42578125" style="2" customWidth="1"/>
    <col min="8" max="8" width="16.85546875" style="2" customWidth="1"/>
    <col min="9" max="9" width="43.7109375" style="59" customWidth="1"/>
    <col min="10" max="10" width="23.28515625" style="1" customWidth="1"/>
    <col min="11" max="16384" width="9.140625" style="1"/>
  </cols>
  <sheetData>
    <row r="3" spans="2:9" ht="47.25" customHeight="1" x14ac:dyDescent="0.25">
      <c r="B3" s="75" t="s">
        <v>86</v>
      </c>
      <c r="C3" s="75"/>
      <c r="D3" s="75"/>
      <c r="E3" s="75"/>
      <c r="F3" s="75"/>
      <c r="G3" s="75"/>
      <c r="H3" s="75"/>
      <c r="I3" s="46"/>
    </row>
    <row r="4" spans="2:9" ht="25.9" customHeight="1" x14ac:dyDescent="0.25">
      <c r="C4" s="3" t="s">
        <v>114</v>
      </c>
      <c r="F4" s="4"/>
      <c r="G4" s="4"/>
      <c r="H4" s="4"/>
      <c r="I4" s="47"/>
    </row>
    <row r="5" spans="2:9" ht="15" customHeight="1" x14ac:dyDescent="0.25">
      <c r="B5" s="76" t="s">
        <v>0</v>
      </c>
      <c r="C5" s="70" t="s">
        <v>1</v>
      </c>
      <c r="D5" s="70" t="s">
        <v>2</v>
      </c>
      <c r="E5" s="70" t="s">
        <v>3</v>
      </c>
      <c r="F5" s="69" t="s">
        <v>91</v>
      </c>
      <c r="G5" s="69" t="s">
        <v>92</v>
      </c>
      <c r="H5" s="69" t="s">
        <v>93</v>
      </c>
      <c r="I5" s="71" t="s">
        <v>99</v>
      </c>
    </row>
    <row r="6" spans="2:9" x14ac:dyDescent="0.25">
      <c r="B6" s="76"/>
      <c r="C6" s="70"/>
      <c r="D6" s="70"/>
      <c r="E6" s="70"/>
      <c r="F6" s="69"/>
      <c r="G6" s="69"/>
      <c r="H6" s="69"/>
      <c r="I6" s="71"/>
    </row>
    <row r="7" spans="2:9" x14ac:dyDescent="0.25">
      <c r="B7" s="76"/>
      <c r="C7" s="70"/>
      <c r="D7" s="70"/>
      <c r="E7" s="70"/>
      <c r="F7" s="69"/>
      <c r="G7" s="69"/>
      <c r="H7" s="69"/>
      <c r="I7" s="71"/>
    </row>
    <row r="8" spans="2:9" ht="13.9" customHeight="1" x14ac:dyDescent="0.25">
      <c r="B8" s="32">
        <v>1</v>
      </c>
      <c r="C8" s="32">
        <v>2</v>
      </c>
      <c r="D8" s="32">
        <v>3</v>
      </c>
      <c r="E8" s="32">
        <v>4</v>
      </c>
      <c r="F8" s="5">
        <v>5</v>
      </c>
      <c r="G8" s="5">
        <v>7</v>
      </c>
      <c r="H8" s="5">
        <v>8</v>
      </c>
      <c r="I8" s="48">
        <v>6</v>
      </c>
    </row>
    <row r="9" spans="2:9" x14ac:dyDescent="0.25">
      <c r="B9" s="32">
        <v>1</v>
      </c>
      <c r="C9" s="42" t="s">
        <v>89</v>
      </c>
      <c r="D9" s="33"/>
      <c r="E9" s="33"/>
      <c r="F9" s="10">
        <v>13</v>
      </c>
      <c r="G9" s="10">
        <v>13</v>
      </c>
      <c r="H9" s="10">
        <v>2</v>
      </c>
      <c r="I9" s="49"/>
    </row>
    <row r="10" spans="2:9" ht="41.25" customHeight="1" x14ac:dyDescent="0.25">
      <c r="B10" s="32">
        <v>2</v>
      </c>
      <c r="C10" s="43" t="s">
        <v>77</v>
      </c>
      <c r="D10" s="33"/>
      <c r="E10" s="33"/>
      <c r="F10" s="44">
        <v>12</v>
      </c>
      <c r="G10" s="44">
        <v>10</v>
      </c>
      <c r="H10" s="44">
        <v>6</v>
      </c>
      <c r="I10" s="50"/>
    </row>
    <row r="11" spans="2:9" x14ac:dyDescent="0.25">
      <c r="B11" s="32">
        <v>3</v>
      </c>
      <c r="C11" s="42" t="s">
        <v>87</v>
      </c>
      <c r="D11" s="45" t="s">
        <v>31</v>
      </c>
      <c r="E11" s="45"/>
      <c r="F11" s="44">
        <f>F10*F9</f>
        <v>156</v>
      </c>
      <c r="G11" s="44">
        <f t="shared" ref="G11:H11" si="0">G10*G9</f>
        <v>130</v>
      </c>
      <c r="H11" s="44">
        <f t="shared" si="0"/>
        <v>12</v>
      </c>
      <c r="I11" s="49"/>
    </row>
    <row r="12" spans="2:9" ht="47.25" x14ac:dyDescent="0.25">
      <c r="B12" s="32">
        <v>4</v>
      </c>
      <c r="C12" s="34" t="s">
        <v>94</v>
      </c>
      <c r="D12" s="35" t="s">
        <v>4</v>
      </c>
      <c r="E12" s="35" t="s">
        <v>5</v>
      </c>
      <c r="F12" s="6">
        <f>(F15+F19+F21+F23+F24+F25)*F27</f>
        <v>690.79482169811308</v>
      </c>
      <c r="G12" s="6">
        <f t="shared" ref="G12:H12" si="1">(G15+G19+G21+G23+G24+G25)*G27</f>
        <v>725.54389454716977</v>
      </c>
      <c r="H12" s="6">
        <f t="shared" si="1"/>
        <v>795.37697106792439</v>
      </c>
      <c r="I12" s="49"/>
    </row>
    <row r="13" spans="2:9" ht="47.25" x14ac:dyDescent="0.25">
      <c r="B13" s="32">
        <v>5</v>
      </c>
      <c r="C13" s="34" t="s">
        <v>95</v>
      </c>
      <c r="D13" s="35" t="s">
        <v>43</v>
      </c>
      <c r="E13" s="35" t="s">
        <v>5</v>
      </c>
      <c r="F13" s="6">
        <f>+(F11*F12)*0.2</f>
        <v>21552.798436981131</v>
      </c>
      <c r="G13" s="6">
        <f t="shared" ref="G13:H13" si="2">+(G11*G12)*0.2</f>
        <v>18864.141258226413</v>
      </c>
      <c r="H13" s="6">
        <f t="shared" si="2"/>
        <v>1908.9047305630186</v>
      </c>
      <c r="I13" s="51" t="s">
        <v>100</v>
      </c>
    </row>
    <row r="14" spans="2:9" x14ac:dyDescent="0.25">
      <c r="B14" s="32">
        <v>6</v>
      </c>
      <c r="C14" s="34" t="s">
        <v>44</v>
      </c>
      <c r="D14" s="35" t="s">
        <v>45</v>
      </c>
      <c r="E14" s="35" t="s">
        <v>5</v>
      </c>
      <c r="F14" s="6">
        <f t="shared" ref="F14:H14" si="3">+((F12*F11)+F13)*0.05</f>
        <v>6465.8395310943388</v>
      </c>
      <c r="G14" s="6">
        <f t="shared" si="3"/>
        <v>5659.2423774679246</v>
      </c>
      <c r="H14" s="6">
        <f t="shared" si="3"/>
        <v>572.67141916890557</v>
      </c>
      <c r="I14" s="51" t="s">
        <v>101</v>
      </c>
    </row>
    <row r="15" spans="2:9" ht="31.5" x14ac:dyDescent="0.25">
      <c r="B15" s="32">
        <v>7</v>
      </c>
      <c r="C15" s="22" t="s">
        <v>8</v>
      </c>
      <c r="D15" s="20" t="s">
        <v>6</v>
      </c>
      <c r="E15" s="20" t="s">
        <v>7</v>
      </c>
      <c r="F15" s="7">
        <f t="shared" ref="F15:G15" si="4">+F16/F17</f>
        <v>164.89957395009128</v>
      </c>
      <c r="G15" s="7">
        <f t="shared" si="4"/>
        <v>164.89957395009128</v>
      </c>
      <c r="H15" s="7">
        <f t="shared" ref="H15" si="5">+H16/H17</f>
        <v>164.89957395009128</v>
      </c>
      <c r="I15" s="52"/>
    </row>
    <row r="16" spans="2:9" ht="42.75" customHeight="1" x14ac:dyDescent="0.25">
      <c r="B16" s="32">
        <v>8</v>
      </c>
      <c r="C16" s="22" t="s">
        <v>9</v>
      </c>
      <c r="D16" s="20" t="s">
        <v>9</v>
      </c>
      <c r="E16" s="20" t="s">
        <v>5</v>
      </c>
      <c r="F16" s="8">
        <v>27093</v>
      </c>
      <c r="G16" s="8">
        <v>27093</v>
      </c>
      <c r="H16" s="8">
        <v>27093</v>
      </c>
      <c r="I16" s="53" t="s">
        <v>102</v>
      </c>
    </row>
    <row r="17" spans="2:9" ht="22.5" x14ac:dyDescent="0.25">
      <c r="B17" s="32">
        <v>9</v>
      </c>
      <c r="C17" s="22" t="s">
        <v>10</v>
      </c>
      <c r="D17" s="20" t="s">
        <v>11</v>
      </c>
      <c r="E17" s="20" t="s">
        <v>12</v>
      </c>
      <c r="F17" s="9">
        <v>164.3</v>
      </c>
      <c r="G17" s="9">
        <v>164.3</v>
      </c>
      <c r="H17" s="9">
        <v>164.3</v>
      </c>
      <c r="I17" s="52" t="s">
        <v>103</v>
      </c>
    </row>
    <row r="18" spans="2:9" ht="30.2" customHeight="1" x14ac:dyDescent="0.25">
      <c r="B18" s="80">
        <v>10</v>
      </c>
      <c r="C18" s="77" t="s">
        <v>13</v>
      </c>
      <c r="D18" s="78" t="s">
        <v>14</v>
      </c>
      <c r="E18" s="20" t="s">
        <v>15</v>
      </c>
      <c r="F18" s="10">
        <v>20</v>
      </c>
      <c r="G18" s="10">
        <v>20</v>
      </c>
      <c r="H18" s="10">
        <v>20</v>
      </c>
      <c r="I18" s="72" t="s">
        <v>104</v>
      </c>
    </row>
    <row r="19" spans="2:9" ht="31.9" customHeight="1" x14ac:dyDescent="0.25">
      <c r="B19" s="80"/>
      <c r="C19" s="77"/>
      <c r="D19" s="78"/>
      <c r="E19" s="20" t="s">
        <v>5</v>
      </c>
      <c r="F19" s="11">
        <v>0</v>
      </c>
      <c r="G19" s="11">
        <v>0</v>
      </c>
      <c r="H19" s="11">
        <v>0</v>
      </c>
      <c r="I19" s="73"/>
    </row>
    <row r="20" spans="2:9" ht="15.6" customHeight="1" x14ac:dyDescent="0.25">
      <c r="B20" s="76">
        <v>12</v>
      </c>
      <c r="C20" s="77" t="s">
        <v>16</v>
      </c>
      <c r="D20" s="78" t="s">
        <v>17</v>
      </c>
      <c r="E20" s="20" t="s">
        <v>42</v>
      </c>
      <c r="F20" s="10">
        <v>2</v>
      </c>
      <c r="G20" s="10">
        <v>2</v>
      </c>
      <c r="H20" s="10">
        <v>2</v>
      </c>
      <c r="I20" s="52" t="s">
        <v>105</v>
      </c>
    </row>
    <row r="21" spans="2:9" ht="42.6" customHeight="1" x14ac:dyDescent="0.25">
      <c r="B21" s="76"/>
      <c r="C21" s="77"/>
      <c r="D21" s="78"/>
      <c r="E21" s="20" t="s">
        <v>5</v>
      </c>
      <c r="F21" s="11">
        <v>0</v>
      </c>
      <c r="G21" s="11">
        <v>0</v>
      </c>
      <c r="H21" s="11">
        <v>0</v>
      </c>
      <c r="I21" s="53" t="s">
        <v>106</v>
      </c>
    </row>
    <row r="22" spans="2:9" ht="21.75" customHeight="1" x14ac:dyDescent="0.25">
      <c r="B22" s="76">
        <v>14</v>
      </c>
      <c r="C22" s="79" t="s">
        <v>88</v>
      </c>
      <c r="D22" s="78" t="s">
        <v>18</v>
      </c>
      <c r="E22" s="20" t="s">
        <v>42</v>
      </c>
      <c r="F22" s="10">
        <f t="shared" ref="F22:H22" si="6">0.8</f>
        <v>0.8</v>
      </c>
      <c r="G22" s="10">
        <f t="shared" si="6"/>
        <v>0.8</v>
      </c>
      <c r="H22" s="10">
        <f t="shared" si="6"/>
        <v>0.8</v>
      </c>
      <c r="I22" s="54" t="s">
        <v>107</v>
      </c>
    </row>
    <row r="23" spans="2:9" ht="21.75" customHeight="1" x14ac:dyDescent="0.25">
      <c r="B23" s="76"/>
      <c r="C23" s="79"/>
      <c r="D23" s="78"/>
      <c r="E23" s="20" t="s">
        <v>5</v>
      </c>
      <c r="F23" s="12">
        <f t="shared" ref="F23:H23" si="7">(F15+F19+F21)*F22</f>
        <v>131.91965916007302</v>
      </c>
      <c r="G23" s="12">
        <f t="shared" si="7"/>
        <v>131.91965916007302</v>
      </c>
      <c r="H23" s="12">
        <f t="shared" si="7"/>
        <v>131.91965916007302</v>
      </c>
      <c r="I23" s="52"/>
    </row>
    <row r="24" spans="2:9" ht="31.5" x14ac:dyDescent="0.25">
      <c r="B24" s="32">
        <v>16</v>
      </c>
      <c r="C24" s="22" t="s">
        <v>20</v>
      </c>
      <c r="D24" s="20" t="s">
        <v>19</v>
      </c>
      <c r="E24" s="20"/>
      <c r="F24" s="13">
        <f t="shared" ref="F24:H24" si="8">+(F15+F19+F21+F23)/12</f>
        <v>24.734936092513692</v>
      </c>
      <c r="G24" s="13">
        <f t="shared" si="8"/>
        <v>24.734936092513692</v>
      </c>
      <c r="H24" s="13">
        <f t="shared" si="8"/>
        <v>24.734936092513692</v>
      </c>
      <c r="I24" s="52"/>
    </row>
    <row r="25" spans="2:9" ht="31.5" x14ac:dyDescent="0.25">
      <c r="B25" s="32">
        <v>17</v>
      </c>
      <c r="C25" s="22" t="s">
        <v>21</v>
      </c>
      <c r="D25" s="20"/>
      <c r="E25" s="20"/>
      <c r="F25" s="13">
        <f t="shared" ref="F25:G25" si="9">+(F15+F19+F21+F23+F24)*F26</f>
        <v>97.109359099208746</v>
      </c>
      <c r="G25" s="13">
        <f t="shared" si="9"/>
        <v>97.109359099208746</v>
      </c>
      <c r="H25" s="13">
        <f t="shared" ref="H25" si="10">+(H15+H19+H21+H23+H24)*H26</f>
        <v>97.109359099208746</v>
      </c>
      <c r="I25" s="52"/>
    </row>
    <row r="26" spans="2:9" x14ac:dyDescent="0.25">
      <c r="B26" s="32">
        <v>18</v>
      </c>
      <c r="C26" s="22" t="s">
        <v>22</v>
      </c>
      <c r="D26" s="20" t="s">
        <v>23</v>
      </c>
      <c r="E26" s="20"/>
      <c r="F26" s="10">
        <v>0.30199999999999999</v>
      </c>
      <c r="G26" s="10">
        <v>0.30199999999999999</v>
      </c>
      <c r="H26" s="10">
        <v>0.30199999999999999</v>
      </c>
      <c r="I26" s="52"/>
    </row>
    <row r="27" spans="2:9" ht="31.5" x14ac:dyDescent="0.25">
      <c r="B27" s="32">
        <v>19</v>
      </c>
      <c r="C27" s="22" t="s">
        <v>24</v>
      </c>
      <c r="D27" s="20" t="s">
        <v>26</v>
      </c>
      <c r="E27" s="20"/>
      <c r="F27" s="11">
        <f t="shared" ref="F27:H27" si="11">+SUM(F28,F32)</f>
        <v>1.65</v>
      </c>
      <c r="G27" s="11">
        <f t="shared" si="11"/>
        <v>1.7330000000000001</v>
      </c>
      <c r="H27" s="11">
        <f t="shared" si="11"/>
        <v>1.8997999999999999</v>
      </c>
      <c r="I27" s="52"/>
    </row>
    <row r="28" spans="2:9" x14ac:dyDescent="0.25">
      <c r="B28" s="32">
        <v>20</v>
      </c>
      <c r="C28" s="19" t="s">
        <v>25</v>
      </c>
      <c r="D28" s="20" t="s">
        <v>27</v>
      </c>
      <c r="E28" s="20"/>
      <c r="F28" s="14">
        <f t="shared" ref="F28:H28" si="12">F29+F30+F31</f>
        <v>1.5</v>
      </c>
      <c r="G28" s="14">
        <f t="shared" si="12"/>
        <v>1.583</v>
      </c>
      <c r="H28" s="14">
        <f t="shared" si="12"/>
        <v>1.7498</v>
      </c>
      <c r="I28" s="52"/>
    </row>
    <row r="29" spans="2:9" ht="15" customHeight="1" x14ac:dyDescent="0.25">
      <c r="B29" s="32">
        <v>21</v>
      </c>
      <c r="C29" s="36" t="s">
        <v>28</v>
      </c>
      <c r="D29" s="20"/>
      <c r="E29" s="37" t="s">
        <v>83</v>
      </c>
      <c r="F29" s="9"/>
      <c r="G29" s="9"/>
      <c r="H29" s="9"/>
      <c r="I29" s="63" t="s">
        <v>108</v>
      </c>
    </row>
    <row r="30" spans="2:9" x14ac:dyDescent="0.25">
      <c r="B30" s="32">
        <v>22</v>
      </c>
      <c r="C30" s="36" t="s">
        <v>29</v>
      </c>
      <c r="D30" s="20"/>
      <c r="E30" s="37" t="s">
        <v>84</v>
      </c>
      <c r="F30" s="9">
        <v>1.5</v>
      </c>
      <c r="G30" s="9"/>
      <c r="H30" s="9"/>
      <c r="I30" s="64"/>
    </row>
    <row r="31" spans="2:9" ht="47.25" x14ac:dyDescent="0.25">
      <c r="B31" s="32">
        <v>23</v>
      </c>
      <c r="C31" s="36" t="s">
        <v>30</v>
      </c>
      <c r="D31" s="20"/>
      <c r="E31" s="20" t="s">
        <v>85</v>
      </c>
      <c r="F31" s="15"/>
      <c r="G31" s="15">
        <f>2-0.0417*G10</f>
        <v>1.583</v>
      </c>
      <c r="H31" s="15">
        <f t="shared" ref="H31" si="13">2-0.0417*H10</f>
        <v>1.7498</v>
      </c>
      <c r="I31" s="65"/>
    </row>
    <row r="32" spans="2:9" x14ac:dyDescent="0.25">
      <c r="B32" s="32">
        <v>24</v>
      </c>
      <c r="C32" s="38" t="s">
        <v>76</v>
      </c>
      <c r="D32" s="20"/>
      <c r="E32" s="20"/>
      <c r="F32" s="14">
        <f t="shared" ref="F32:G32" si="14">IF(SUM(F33:F37)&lt;0.35,SUM(F33:F37),0.35)</f>
        <v>0.15000000000000002</v>
      </c>
      <c r="G32" s="14">
        <f t="shared" si="14"/>
        <v>0.15000000000000002</v>
      </c>
      <c r="H32" s="14">
        <f t="shared" ref="H32" si="15">IF(SUM(H33:H37)&lt;0.35,SUM(H33:H37),0.35)</f>
        <v>0.15000000000000002</v>
      </c>
      <c r="I32" s="55" t="s">
        <v>109</v>
      </c>
    </row>
    <row r="33" spans="2:9" ht="15" customHeight="1" x14ac:dyDescent="0.25">
      <c r="B33" s="32">
        <v>25</v>
      </c>
      <c r="C33" s="36" t="s">
        <v>32</v>
      </c>
      <c r="D33" s="20" t="s">
        <v>37</v>
      </c>
      <c r="E33" s="20" t="s">
        <v>78</v>
      </c>
      <c r="F33" s="9">
        <v>0.05</v>
      </c>
      <c r="G33" s="9">
        <v>0.05</v>
      </c>
      <c r="H33" s="9">
        <v>0.05</v>
      </c>
      <c r="I33" s="66" t="s">
        <v>110</v>
      </c>
    </row>
    <row r="34" spans="2:9" x14ac:dyDescent="0.25">
      <c r="B34" s="32">
        <v>26</v>
      </c>
      <c r="C34" s="36" t="s">
        <v>33</v>
      </c>
      <c r="D34" s="20" t="s">
        <v>38</v>
      </c>
      <c r="E34" s="20" t="s">
        <v>79</v>
      </c>
      <c r="F34" s="9">
        <v>0</v>
      </c>
      <c r="G34" s="9">
        <v>0</v>
      </c>
      <c r="H34" s="9">
        <v>0</v>
      </c>
      <c r="I34" s="67"/>
    </row>
    <row r="35" spans="2:9" x14ac:dyDescent="0.25">
      <c r="B35" s="32">
        <v>27</v>
      </c>
      <c r="C35" s="36" t="s">
        <v>34</v>
      </c>
      <c r="D35" s="20" t="s">
        <v>39</v>
      </c>
      <c r="E35" s="20" t="s">
        <v>80</v>
      </c>
      <c r="F35" s="9">
        <v>0</v>
      </c>
      <c r="G35" s="9">
        <v>0</v>
      </c>
      <c r="H35" s="9">
        <v>0</v>
      </c>
      <c r="I35" s="67"/>
    </row>
    <row r="36" spans="2:9" ht="63" x14ac:dyDescent="0.25">
      <c r="B36" s="32">
        <v>28</v>
      </c>
      <c r="C36" s="36" t="s">
        <v>35</v>
      </c>
      <c r="D36" s="20" t="s">
        <v>40</v>
      </c>
      <c r="E36" s="20" t="s">
        <v>81</v>
      </c>
      <c r="F36" s="9">
        <v>0.1</v>
      </c>
      <c r="G36" s="9">
        <v>0.1</v>
      </c>
      <c r="H36" s="9">
        <v>0.1</v>
      </c>
      <c r="I36" s="67"/>
    </row>
    <row r="37" spans="2:9" ht="31.5" x14ac:dyDescent="0.25">
      <c r="B37" s="32">
        <v>29</v>
      </c>
      <c r="C37" s="36" t="s">
        <v>36</v>
      </c>
      <c r="D37" s="20" t="s">
        <v>41</v>
      </c>
      <c r="E37" s="20" t="s">
        <v>78</v>
      </c>
      <c r="F37" s="9">
        <v>0</v>
      </c>
      <c r="G37" s="9">
        <v>0</v>
      </c>
      <c r="H37" s="9">
        <v>0</v>
      </c>
      <c r="I37" s="68"/>
    </row>
    <row r="38" spans="2:9" ht="94.5" x14ac:dyDescent="0.25">
      <c r="B38" s="32">
        <v>30</v>
      </c>
      <c r="C38" s="34" t="s">
        <v>65</v>
      </c>
      <c r="D38" s="35" t="s">
        <v>46</v>
      </c>
      <c r="E38" s="35" t="s">
        <v>5</v>
      </c>
      <c r="F38" s="16">
        <f t="shared" ref="F38:G38" si="16">+F39*F40+F41*F42+F43*F44+F45*F46+F47</f>
        <v>1357.1999999999998</v>
      </c>
      <c r="G38" s="16">
        <f t="shared" si="16"/>
        <v>1131</v>
      </c>
      <c r="H38" s="16">
        <f t="shared" ref="H38" si="17">+H39*H40+H41*H42+H43*H44+H45*H46+H47</f>
        <v>104.39999999999999</v>
      </c>
      <c r="I38" s="51"/>
    </row>
    <row r="39" spans="2:9" x14ac:dyDescent="0.25">
      <c r="B39" s="32">
        <v>31</v>
      </c>
      <c r="C39" s="39" t="s">
        <v>48</v>
      </c>
      <c r="D39" s="20" t="s">
        <v>47</v>
      </c>
      <c r="E39" s="20"/>
      <c r="F39" s="10">
        <v>8.6999999999999993</v>
      </c>
      <c r="G39" s="10">
        <v>8.6999999999999993</v>
      </c>
      <c r="H39" s="10">
        <v>8.6999999999999993</v>
      </c>
      <c r="I39" s="52"/>
    </row>
    <row r="40" spans="2:9" ht="31.5" x14ac:dyDescent="0.25">
      <c r="B40" s="32">
        <v>32</v>
      </c>
      <c r="C40" s="40" t="s">
        <v>50</v>
      </c>
      <c r="D40" s="20" t="s">
        <v>49</v>
      </c>
      <c r="E40" s="20"/>
      <c r="F40" s="44">
        <f>F11</f>
        <v>156</v>
      </c>
      <c r="G40" s="44">
        <f t="shared" ref="F40:G40" si="18">G11</f>
        <v>130</v>
      </c>
      <c r="H40" s="44">
        <f t="shared" ref="H40" si="19">H11</f>
        <v>12</v>
      </c>
      <c r="I40" s="52"/>
    </row>
    <row r="41" spans="2:9" x14ac:dyDescent="0.25">
      <c r="B41" s="32">
        <v>33</v>
      </c>
      <c r="C41" s="22" t="s">
        <v>52</v>
      </c>
      <c r="D41" s="20" t="s">
        <v>51</v>
      </c>
      <c r="E41" s="20"/>
      <c r="F41" s="10"/>
      <c r="G41" s="10"/>
      <c r="H41" s="10"/>
      <c r="I41" s="52"/>
    </row>
    <row r="42" spans="2:9" ht="31.5" x14ac:dyDescent="0.25">
      <c r="B42" s="32">
        <v>34</v>
      </c>
      <c r="C42" s="22" t="s">
        <v>54</v>
      </c>
      <c r="D42" s="20" t="s">
        <v>53</v>
      </c>
      <c r="E42" s="20"/>
      <c r="F42" s="10"/>
      <c r="G42" s="10"/>
      <c r="H42" s="10"/>
      <c r="I42" s="52"/>
    </row>
    <row r="43" spans="2:9" x14ac:dyDescent="0.25">
      <c r="B43" s="32">
        <v>35</v>
      </c>
      <c r="C43" s="22" t="s">
        <v>55</v>
      </c>
      <c r="D43" s="20" t="s">
        <v>56</v>
      </c>
      <c r="E43" s="20"/>
      <c r="F43" s="10"/>
      <c r="G43" s="10"/>
      <c r="H43" s="10"/>
      <c r="I43" s="52"/>
    </row>
    <row r="44" spans="2:9" ht="31.5" x14ac:dyDescent="0.25">
      <c r="B44" s="32">
        <v>36</v>
      </c>
      <c r="C44" s="22" t="s">
        <v>57</v>
      </c>
      <c r="D44" s="20" t="s">
        <v>58</v>
      </c>
      <c r="E44" s="20"/>
      <c r="F44" s="10"/>
      <c r="G44" s="10"/>
      <c r="H44" s="10"/>
      <c r="I44" s="52"/>
    </row>
    <row r="45" spans="2:9" x14ac:dyDescent="0.25">
      <c r="B45" s="32">
        <v>37</v>
      </c>
      <c r="C45" s="22" t="s">
        <v>59</v>
      </c>
      <c r="D45" s="20" t="s">
        <v>60</v>
      </c>
      <c r="E45" s="20"/>
      <c r="F45" s="10"/>
      <c r="G45" s="10"/>
      <c r="H45" s="10"/>
      <c r="I45" s="52"/>
    </row>
    <row r="46" spans="2:9" x14ac:dyDescent="0.25">
      <c r="B46" s="32">
        <v>38</v>
      </c>
      <c r="C46" s="22" t="s">
        <v>61</v>
      </c>
      <c r="D46" s="20" t="s">
        <v>62</v>
      </c>
      <c r="E46" s="20"/>
      <c r="F46" s="10"/>
      <c r="G46" s="10"/>
      <c r="H46" s="10"/>
      <c r="I46" s="52"/>
    </row>
    <row r="47" spans="2:9" ht="31.5" x14ac:dyDescent="0.25">
      <c r="B47" s="32">
        <v>39</v>
      </c>
      <c r="C47" s="22" t="s">
        <v>64</v>
      </c>
      <c r="D47" s="20" t="s">
        <v>63</v>
      </c>
      <c r="E47" s="20"/>
      <c r="F47" s="10"/>
      <c r="G47" s="10"/>
      <c r="H47" s="10"/>
      <c r="I47" s="52"/>
    </row>
    <row r="48" spans="2:9" ht="31.5" x14ac:dyDescent="0.25">
      <c r="B48" s="32">
        <v>40</v>
      </c>
      <c r="C48" s="34" t="s">
        <v>67</v>
      </c>
      <c r="D48" s="35" t="s">
        <v>66</v>
      </c>
      <c r="E48" s="35" t="s">
        <v>5</v>
      </c>
      <c r="F48" s="16">
        <f t="shared" ref="F48:G48" si="20">+F49*F50</f>
        <v>0</v>
      </c>
      <c r="G48" s="16">
        <f t="shared" si="20"/>
        <v>0</v>
      </c>
      <c r="H48" s="16">
        <f t="shared" ref="H48" si="21">+H49*H50</f>
        <v>0</v>
      </c>
      <c r="I48" s="51"/>
    </row>
    <row r="49" spans="1:9" x14ac:dyDescent="0.25">
      <c r="B49" s="32">
        <v>41</v>
      </c>
      <c r="C49" s="22" t="s">
        <v>70</v>
      </c>
      <c r="D49" s="20" t="s">
        <v>68</v>
      </c>
      <c r="E49" s="20" t="s">
        <v>5</v>
      </c>
      <c r="F49" s="10"/>
      <c r="G49" s="10"/>
      <c r="H49" s="10"/>
      <c r="I49" s="52"/>
    </row>
    <row r="50" spans="1:9" x14ac:dyDescent="0.25">
      <c r="B50" s="32">
        <v>42</v>
      </c>
      <c r="C50" s="22" t="s">
        <v>71</v>
      </c>
      <c r="D50" s="20" t="s">
        <v>69</v>
      </c>
      <c r="E50" s="20" t="s">
        <v>12</v>
      </c>
      <c r="F50" s="10"/>
      <c r="G50" s="10"/>
      <c r="H50" s="10"/>
      <c r="I50" s="52"/>
    </row>
    <row r="51" spans="1:9" ht="33.75" customHeight="1" x14ac:dyDescent="0.25">
      <c r="B51" s="32">
        <v>43</v>
      </c>
      <c r="C51" s="34" t="s">
        <v>72</v>
      </c>
      <c r="D51" s="35" t="s">
        <v>73</v>
      </c>
      <c r="E51" s="35"/>
      <c r="F51" s="10">
        <v>1</v>
      </c>
      <c r="G51" s="10">
        <v>1</v>
      </c>
      <c r="H51" s="10">
        <v>1</v>
      </c>
      <c r="I51" s="51" t="s">
        <v>111</v>
      </c>
    </row>
    <row r="52" spans="1:9" ht="31.5" x14ac:dyDescent="0.25">
      <c r="B52" s="32">
        <v>44</v>
      </c>
      <c r="C52" s="34" t="s">
        <v>90</v>
      </c>
      <c r="D52" s="35" t="s">
        <v>74</v>
      </c>
      <c r="E52" s="35"/>
      <c r="F52" s="6">
        <f>+(F13+(F12*F11)+F14)*0.22</f>
        <v>29872.178633655847</v>
      </c>
      <c r="G52" s="6">
        <f t="shared" ref="G52" si="22">+(G13+(G12*G11)+G14)*0.22</f>
        <v>26145.699783901808</v>
      </c>
      <c r="H52" s="6">
        <f t="shared" ref="H52" si="23">+(H13+(H12*H11)+H14)*0.22</f>
        <v>2645.7419565603441</v>
      </c>
      <c r="I52" s="51"/>
    </row>
    <row r="53" spans="1:9" ht="31.5" x14ac:dyDescent="0.25">
      <c r="B53" s="32">
        <v>45</v>
      </c>
      <c r="C53" s="17" t="s">
        <v>96</v>
      </c>
      <c r="D53" s="18"/>
      <c r="E53" s="18"/>
      <c r="F53" s="6">
        <f t="shared" ref="F53:G53" si="24">+((F12*F11)+F13+F14+F38+F48)*F51+F52</f>
        <v>167012.00878663699</v>
      </c>
      <c r="G53" s="6">
        <f t="shared" si="24"/>
        <v>146120.78971072822</v>
      </c>
      <c r="H53" s="6">
        <f t="shared" ref="H53" si="25">+((H12*H11)+H13+H14+H38+H48)*H51+H52</f>
        <v>14776.241759107361</v>
      </c>
      <c r="I53" s="56"/>
    </row>
    <row r="54" spans="1:9" x14ac:dyDescent="0.25">
      <c r="B54" s="32">
        <v>46</v>
      </c>
      <c r="C54" s="19" t="s">
        <v>82</v>
      </c>
      <c r="D54" s="20"/>
      <c r="E54" s="20"/>
      <c r="F54" s="21">
        <v>1</v>
      </c>
      <c r="G54" s="21">
        <v>1</v>
      </c>
      <c r="H54" s="21">
        <v>1</v>
      </c>
      <c r="I54" s="57" t="s">
        <v>112</v>
      </c>
    </row>
    <row r="55" spans="1:9" x14ac:dyDescent="0.25">
      <c r="B55" s="32">
        <v>47</v>
      </c>
      <c r="C55" s="22" t="s">
        <v>75</v>
      </c>
      <c r="D55" s="20"/>
      <c r="E55" s="20"/>
      <c r="F55" s="23">
        <f t="shared" ref="F55:G55" si="26">+F53*F54</f>
        <v>167012.00878663699</v>
      </c>
      <c r="G55" s="23">
        <f t="shared" si="26"/>
        <v>146120.78971072822</v>
      </c>
      <c r="H55" s="23">
        <f t="shared" ref="H55" si="27">+H53*H54</f>
        <v>14776.241759107361</v>
      </c>
      <c r="I55" s="58"/>
    </row>
    <row r="56" spans="1:9" x14ac:dyDescent="0.25">
      <c r="B56" s="41"/>
      <c r="C56" s="24" t="s">
        <v>97</v>
      </c>
      <c r="D56" s="41"/>
      <c r="E56" s="41"/>
      <c r="F56" s="25">
        <f>(F53/F11)</f>
        <v>1070.5897999143397</v>
      </c>
      <c r="G56" s="25">
        <f t="shared" ref="G56:H56" si="28">(G55/G11)</f>
        <v>1124.0060746979093</v>
      </c>
      <c r="H56" s="25">
        <f t="shared" si="28"/>
        <v>1231.3534799256133</v>
      </c>
    </row>
    <row r="57" spans="1:9" x14ac:dyDescent="0.25">
      <c r="B57" s="41"/>
      <c r="C57" s="24" t="s">
        <v>98</v>
      </c>
      <c r="D57" s="41"/>
      <c r="E57" s="41"/>
      <c r="F57" s="26">
        <f t="shared" ref="F57:G57" si="29">+ROUND(F56,2)</f>
        <v>1070.5899999999999</v>
      </c>
      <c r="G57" s="26">
        <f t="shared" si="29"/>
        <v>1124.01</v>
      </c>
      <c r="H57" s="26">
        <f t="shared" ref="H57" si="30">+ROUND(H56,2)</f>
        <v>1231.3499999999999</v>
      </c>
    </row>
    <row r="58" spans="1:9" ht="65.25" customHeight="1" x14ac:dyDescent="0.25">
      <c r="B58" s="74" t="s">
        <v>113</v>
      </c>
      <c r="C58" s="74"/>
      <c r="D58" s="74"/>
      <c r="E58" s="74"/>
      <c r="F58" s="26">
        <f>(F57*F11*F54)</f>
        <v>167012.03999999998</v>
      </c>
      <c r="G58" s="26">
        <f t="shared" ref="G58:H58" si="31">G57*G11</f>
        <v>146121.29999999999</v>
      </c>
      <c r="H58" s="26">
        <f t="shared" si="31"/>
        <v>14776.199999999999</v>
      </c>
      <c r="I58" s="62">
        <f>F58+G58+H58</f>
        <v>327909.53999999998</v>
      </c>
    </row>
    <row r="59" spans="1:9" ht="25.15" customHeight="1" x14ac:dyDescent="0.25">
      <c r="B59" s="27"/>
      <c r="C59" s="28"/>
      <c r="D59" s="29"/>
      <c r="E59" s="29"/>
      <c r="F59" s="30"/>
      <c r="G59" s="30"/>
      <c r="H59" s="30"/>
      <c r="I59" s="60"/>
    </row>
    <row r="60" spans="1:9" x14ac:dyDescent="0.25">
      <c r="C60" s="31"/>
      <c r="H60" s="1"/>
      <c r="I60" s="61"/>
    </row>
    <row r="61" spans="1:9" s="2" customFormat="1" x14ac:dyDescent="0.25">
      <c r="A61" s="1"/>
      <c r="C61" s="31"/>
      <c r="I61" s="59"/>
    </row>
    <row r="62" spans="1:9" s="2" customFormat="1" x14ac:dyDescent="0.25">
      <c r="A62" s="1"/>
      <c r="C62" s="31"/>
      <c r="I62" s="59"/>
    </row>
    <row r="63" spans="1:9" s="2" customFormat="1" x14ac:dyDescent="0.25">
      <c r="A63" s="1"/>
      <c r="C63" s="31"/>
      <c r="I63" s="59"/>
    </row>
    <row r="64" spans="1:9" s="2" customFormat="1" x14ac:dyDescent="0.25">
      <c r="A64" s="1"/>
      <c r="C64" s="31"/>
      <c r="I64" s="59"/>
    </row>
    <row r="65" spans="1:9" s="2" customFormat="1" x14ac:dyDescent="0.25">
      <c r="A65" s="1"/>
      <c r="C65" s="31"/>
      <c r="I65" s="59"/>
    </row>
    <row r="66" spans="1:9" s="2" customFormat="1" x14ac:dyDescent="0.25">
      <c r="A66" s="1"/>
      <c r="C66" s="31"/>
      <c r="I66" s="59"/>
    </row>
    <row r="67" spans="1:9" s="2" customFormat="1" x14ac:dyDescent="0.25">
      <c r="A67" s="1"/>
      <c r="C67" s="31"/>
      <c r="I67" s="59"/>
    </row>
    <row r="68" spans="1:9" s="2" customFormat="1" x14ac:dyDescent="0.25">
      <c r="A68" s="1"/>
      <c r="C68" s="31"/>
      <c r="I68" s="59"/>
    </row>
  </sheetData>
  <mergeCells count="22">
    <mergeCell ref="B58:E58"/>
    <mergeCell ref="B3:H3"/>
    <mergeCell ref="B20:B21"/>
    <mergeCell ref="C20:C21"/>
    <mergeCell ref="D20:D21"/>
    <mergeCell ref="B22:B23"/>
    <mergeCell ref="C22:C23"/>
    <mergeCell ref="D22:D23"/>
    <mergeCell ref="H5:H7"/>
    <mergeCell ref="B18:B19"/>
    <mergeCell ref="C18:C19"/>
    <mergeCell ref="D18:D19"/>
    <mergeCell ref="B5:B7"/>
    <mergeCell ref="C5:C7"/>
    <mergeCell ref="I29:I31"/>
    <mergeCell ref="I33:I37"/>
    <mergeCell ref="G5:G7"/>
    <mergeCell ref="D5:D7"/>
    <mergeCell ref="E5:E7"/>
    <mergeCell ref="F5:F7"/>
    <mergeCell ref="I5:I7"/>
    <mergeCell ref="I18:I19"/>
  </mergeCells>
  <pageMargins left="0.23622047244094491" right="0.23622047244094491" top="0.74803149606299213" bottom="0.74803149606299213" header="0.31496062992125984" footer="0.31496062992125984"/>
  <pageSetup paperSize="9" scale="1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Г-1</vt:lpstr>
      <vt:lpstr>'Г-1'!Область_печати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Мякшинова Елена Валерьевна</dc:creator>
  <cp:lastModifiedBy>КонтрУпр</cp:lastModifiedBy>
  <cp:lastPrinted>2026-01-13T04:37:44Z</cp:lastPrinted>
  <dcterms:created xsi:type="dcterms:W3CDTF">2021-07-05T04:43:44Z</dcterms:created>
  <dcterms:modified xsi:type="dcterms:W3CDTF">2026-09-09T19:29:23Z</dcterms:modified>
</cp:coreProperties>
</file>